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8180" windowHeight="9000" activeTab="0"/>
  </bookViews>
  <sheets>
    <sheet name="Output Transformer" sheetId="1" r:id="rId1"/>
    <sheet name="Choke measurements" sheetId="2" r:id="rId2"/>
  </sheets>
  <externalReferences>
    <externalReference r:id="rId5"/>
  </externalReferences>
  <definedNames>
    <definedName name="DUT_volt">'[1]RLC RANGES'!$B$9</definedName>
    <definedName name="Freq">'[1]RLC RANGES'!$B$10</definedName>
    <definedName name="R_ref">'[1]RLC RANGES'!$B$11</definedName>
    <definedName name="Ref_volt">'[1]RLC RANGES'!$B$8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Author</author>
  </authors>
  <commentList>
    <comment ref="D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Also turns ratio.</t>
        </r>
      </text>
    </comment>
    <comment ref="D2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Also turns ratio.</t>
        </r>
      </text>
    </comment>
    <comment ref="D3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Also turns ratio.</t>
        </r>
      </text>
    </comment>
    <comment ref="D4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Also turns ratio.</t>
        </r>
      </text>
    </comment>
    <comment ref="D5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Also turns ratio.</t>
        </r>
      </text>
    </comment>
  </commentList>
</comments>
</file>

<file path=xl/sharedStrings.xml><?xml version="1.0" encoding="utf-8"?>
<sst xmlns="http://schemas.openxmlformats.org/spreadsheetml/2006/main" count="180" uniqueCount="147">
  <si>
    <t>Signal Volts</t>
  </si>
  <si>
    <t>Turns Ratio</t>
  </si>
  <si>
    <t>Relative Turns</t>
  </si>
  <si>
    <t>Pri (P-P)</t>
  </si>
  <si>
    <t>Sec 1-0</t>
  </si>
  <si>
    <t>Sec 2-0</t>
  </si>
  <si>
    <t>Sec 3-0</t>
  </si>
  <si>
    <t>Sec 4-0</t>
  </si>
  <si>
    <t>Sec 5-0</t>
  </si>
  <si>
    <t>Sec 6-0</t>
  </si>
  <si>
    <t>Sec 7-0</t>
  </si>
  <si>
    <t>Sec 8-0</t>
  </si>
  <si>
    <t>Measurement values (eg. at 50Hz, or use a signal generator)</t>
  </si>
  <si>
    <t>User inserted values</t>
  </si>
  <si>
    <t>MM1900</t>
  </si>
  <si>
    <t>Power
(W)</t>
  </si>
  <si>
    <t>Vrms
(8 ohm)</t>
  </si>
  <si>
    <t>Vratio
(100V)</t>
  </si>
  <si>
    <t>Zratio</t>
  </si>
  <si>
    <t>Zpri
(rel to 8ohm)</t>
  </si>
  <si>
    <t>DCR to 0W</t>
  </si>
  <si>
    <t>MX-1114</t>
  </si>
  <si>
    <t>M1115</t>
  </si>
  <si>
    <t>M1120</t>
  </si>
  <si>
    <t>Zpri
(rel to 8 ohm)</t>
  </si>
  <si>
    <t>Vrms
(16 ohm)</t>
  </si>
  <si>
    <t>Notes:</t>
  </si>
  <si>
    <r>
      <t>Often the primary PP is not known, so put an estimate value (</t>
    </r>
    <r>
      <rPr>
        <sz val="10"/>
        <rFont val="Calibri"/>
        <family val="2"/>
      </rPr>
      <t>Ω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 in the green Z P-P cell.</t>
    </r>
  </si>
  <si>
    <t>Change the Z P-P green cell value to see if any of the secondary impedances seem applicable.</t>
  </si>
  <si>
    <t>Impedances don't have to exactly equal what you think they should be, or what is on a schematic.</t>
  </si>
  <si>
    <t>Insert measured signal voltages in the light yellow cells.</t>
  </si>
  <si>
    <t>Apply an AC voltage to a winding section (eg. to the primary winding, or half a primary winding).</t>
  </si>
  <si>
    <t>Measure the voltage at each of the other windings.</t>
  </si>
  <si>
    <t>Make the first secondary measurement across the largest secondary winding turns.</t>
  </si>
  <si>
    <t>The relative turns column has 1000 for that winding (green cell).</t>
  </si>
  <si>
    <t>Jaycar PA OT calculations</t>
  </si>
  <si>
    <t>Measurements</t>
  </si>
  <si>
    <t>12VAC</t>
  </si>
  <si>
    <t>20VAC</t>
  </si>
  <si>
    <t>32VAC</t>
  </si>
  <si>
    <t>52VAC</t>
  </si>
  <si>
    <t>Type</t>
  </si>
  <si>
    <t>DCR Ω</t>
  </si>
  <si>
    <t>Markings</t>
  </si>
  <si>
    <t>Idc mA</t>
  </si>
  <si>
    <t>Iac mA</t>
  </si>
  <si>
    <t>L (H)</t>
  </si>
  <si>
    <t>Iron core 70x60x25mm</t>
  </si>
  <si>
    <t>737011, E54C5, 549042 - W symbol</t>
  </si>
  <si>
    <t>5.0H @ 80mAdc; 4.91H @ 138mAdc; 2.8H @ 280mAdc; Megger ok</t>
  </si>
  <si>
    <t>Iron core 72x64x26mm</t>
  </si>
  <si>
    <t>Ironcore 1256</t>
  </si>
  <si>
    <t>16.6H @ 26mAdc: 14.4H @ 45mAdc; 9.5H @ 93mAdc;</t>
  </si>
  <si>
    <t>Iron core 75x65x80mm</t>
  </si>
  <si>
    <t>Red Lion</t>
  </si>
  <si>
    <t>12.1H @ 27mAdc: 11.5H @ 76mAdc; 11H @ 123mAdc; Megger ok</t>
  </si>
  <si>
    <t>Iron core 65x65x80mm</t>
  </si>
  <si>
    <t>Ferguson CF106</t>
  </si>
  <si>
    <t>10.4H @ 43mAdc: 8H @ 127mAdc; 4.3H @ 200mAdc; Megger ok</t>
  </si>
  <si>
    <t>Rola TV306</t>
  </si>
  <si>
    <t>1.36H @ 55mAdc; 1.2H @ 110mAdc; 1H @ 230mAdc; 0.86H @ 350mAdc;</t>
  </si>
  <si>
    <t>Rola TV301</t>
  </si>
  <si>
    <t xml:space="preserve">1.4H @ 120mAdc: 1.3H @ 250mAdc; 1.2H @ 430mAdc; 0.54H @ 700mAdc; </t>
  </si>
  <si>
    <t>Rola 14/60</t>
  </si>
  <si>
    <t>ferrite</t>
  </si>
  <si>
    <t>ICT PRC X0  1200141</t>
  </si>
  <si>
    <t>180mH</t>
  </si>
  <si>
    <t>AC choke</t>
  </si>
  <si>
    <t>ATCO EC40 (40W lamp ballast)</t>
  </si>
  <si>
    <t>1.2H @ 104mAdc: 1.1H @ 300mAdc; 0.96H @ 500mAdc;</t>
  </si>
  <si>
    <t>ATCO EC18/20</t>
  </si>
  <si>
    <t>1.88H @ 147mAdc: 1.69H @ 260mAdc: 1.45H @ 420mAdc; 1.26H @ 517mAdc;</t>
  </si>
  <si>
    <t>VS LN 18.162</t>
  </si>
  <si>
    <t>1.66H @ 165mAdc: 1.57H @ 288mAdc: 1.22H @ 458mAdc; 0.49H @ 740mAdc;</t>
  </si>
  <si>
    <t>VS LN 18/20.129</t>
  </si>
  <si>
    <t>1.69H @ 145mAdc: 1.61H @ 254mAdc: 1.42H @ 407mAdc; 1.2H @ 509mAdc;</t>
  </si>
  <si>
    <t>VS LN 36.505</t>
  </si>
  <si>
    <t>1.08H @ 295mAdc: 0.73H @ 517mAdc; 0.3H @ 825mAdc;</t>
  </si>
  <si>
    <t>Contactor 24VAC</t>
  </si>
  <si>
    <t xml:space="preserve">0.08H @ 390mAdc: </t>
  </si>
  <si>
    <t>Contactor CA2 110VDC</t>
  </si>
  <si>
    <t>110VDC  LX1-D09</t>
  </si>
  <si>
    <t>2.06H @ 65mAdc: 0.72H @ 188mAdc;</t>
  </si>
  <si>
    <t>240V 50Hz 13W lamp</t>
  </si>
  <si>
    <t>LS13</t>
  </si>
  <si>
    <t>2.6H @ 44mAdc: 2.6H @ 150mAdc; 2.3H @ 245mAdc;</t>
  </si>
  <si>
    <t>iron core: min core gap</t>
  </si>
  <si>
    <t>500407</t>
  </si>
  <si>
    <t>4.1H @ 30mAdc: 2.3H @ 50mAdc; 0.9H @ 90mAdc;</t>
  </si>
  <si>
    <t>blk-grn; min core gap</t>
  </si>
  <si>
    <t>501123</t>
  </si>
  <si>
    <t>2.9H @ 41mAdc; 1.4H @ 65mAdc; 1.1H @ 80mAdc; 1.0H @ 100mAdc;</t>
  </si>
  <si>
    <t>501124</t>
  </si>
  <si>
    <t>1.7H @ 58mAdc; 1.2H @ 94mAdc</t>
  </si>
  <si>
    <t>501125</t>
  </si>
  <si>
    <t>501126</t>
  </si>
  <si>
    <t>500405</t>
  </si>
  <si>
    <t>500406</t>
  </si>
  <si>
    <t>400, 708</t>
  </si>
  <si>
    <t>500408</t>
  </si>
  <si>
    <t>1.4H @ 66mAdc; 0.9H @ 108mAdc</t>
  </si>
  <si>
    <t>500409</t>
  </si>
  <si>
    <t>1.6H @ 60mAdc; 1.4H @ 97mAdc</t>
  </si>
  <si>
    <t>500410</t>
  </si>
  <si>
    <t>500411</t>
  </si>
  <si>
    <t>8316202</t>
  </si>
  <si>
    <t>Iron core 40x40x35</t>
  </si>
  <si>
    <t>26/06/1951</t>
  </si>
  <si>
    <t>12H @ 16mAdc; 10.8H @ 45mAdc; 6.8H @ 73mAdc</t>
  </si>
  <si>
    <t>Radix Power 50H</t>
  </si>
  <si>
    <t>Ohm</t>
  </si>
  <si>
    <t>Vdc</t>
  </si>
  <si>
    <t>W</t>
  </si>
  <si>
    <t>Vrms</t>
  </si>
  <si>
    <t>H</t>
  </si>
  <si>
    <t>mArms</t>
  </si>
  <si>
    <t xml:space="preserve"> </t>
  </si>
  <si>
    <t>Rdcr (series resistance of choke)</t>
  </si>
  <si>
    <t>Rs (sense resistance)</t>
  </si>
  <si>
    <t>Vsdc (Rs dc voltage)</t>
  </si>
  <si>
    <t>Vsac (Rs ac voltage)</t>
  </si>
  <si>
    <t>Vc (choke ac voltage)</t>
  </si>
  <si>
    <t>Use true-rms metering of ac voltage across sense resistor (Vsac) and across choke (Vc).</t>
  </si>
  <si>
    <t>Mains frequency</t>
  </si>
  <si>
    <t>Hz</t>
  </si>
  <si>
    <t>Choke dissipation</t>
  </si>
  <si>
    <t xml:space="preserve">mA </t>
  </si>
  <si>
    <t>Ω</t>
  </si>
  <si>
    <t>Choke impedance (Z)</t>
  </si>
  <si>
    <t>Choke reactance (X)</t>
  </si>
  <si>
    <t>Choke inductance (L)</t>
  </si>
  <si>
    <t>Choke Measurement Method</t>
  </si>
  <si>
    <t>Sense resistor dissipation</t>
  </si>
  <si>
    <t>Choke tested</t>
  </si>
  <si>
    <t>Choke AC current (Iac)</t>
  </si>
  <si>
    <t>Choke DC current (Idc)</t>
  </si>
  <si>
    <r>
      <t>Sometimes a PA amp provides secondary winding impedances (eg. 40, 60, 100, 150, 300, 600</t>
    </r>
    <r>
      <rPr>
        <sz val="10"/>
        <rFont val="Calibri"/>
        <family val="2"/>
      </rPr>
      <t>Ω</t>
    </r>
    <r>
      <rPr>
        <sz val="10"/>
        <rFont val="Arial"/>
        <family val="2"/>
      </rPr>
      <t>)</t>
    </r>
  </si>
  <si>
    <t>The example measurements are for an 8k PP to 40-60-100-150-300-600 transformer</t>
  </si>
  <si>
    <t>The relative turns calculated for the other secondary windings then indicates their ratio.</t>
  </si>
  <si>
    <t>Using 2V for Sec 7-0 gives 182 relative turns, which is equivalent to the winding from 60-to-150 Ω, and represents a 20Ω load.</t>
  </si>
  <si>
    <t>Using 1.6V for Sec 8-0 gives 145 relative turns, which is equivalent to the winding from 40-to-100 Ω, and represents a 13Ω load.</t>
  </si>
  <si>
    <t xml:space="preserve">     - this would be fine for a 16Ω speaker load and 7kΩ PP. </t>
  </si>
  <si>
    <t xml:space="preserve">     - this would be fine for a 16Ω speaker load and 10kΩ PP. </t>
  </si>
  <si>
    <r>
      <t>Z (</t>
    </r>
    <r>
      <rPr>
        <b/>
        <sz val="10"/>
        <rFont val="Calibri"/>
        <family val="2"/>
      </rPr>
      <t>Ω</t>
    </r>
    <r>
      <rPr>
        <b/>
        <sz val="10"/>
        <rFont val="Arial"/>
        <family val="2"/>
      </rPr>
      <t>) P-P</t>
    </r>
  </si>
  <si>
    <t>When applying AC voltage to a PP OT, try and apply voltage to P-CT half-winding</t>
  </si>
  <si>
    <t xml:space="preserve">  the voltage measured across driven half-primary includes a voltage across the winding resistance due to magnetising current</t>
  </si>
  <si>
    <t xml:space="preserve">  then use voltage measured on other CT-P half-winding for calculations (but double it for P-P voltage)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</si>
</sst>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 quotePrefix="1">
      <alignment horizontal="left" vertical="top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1285875</xdr:colOff>
      <xdr:row>0</xdr:row>
      <xdr:rowOff>47625</xdr:rowOff>
    </xdr:from>
    <xdr:to>
      <xdr:col>4</xdr:col>
      <xdr:colOff>3381375</xdr:colOff>
      <xdr:row>17</xdr:row>
      <xdr:rowOff>142875</xdr:rowOff>
    </xdr:to>
    <xdr:pic>
      <xdr:nvPicPr>
        <xdr:cNvPr id="1" name="Picture 1" descr="Choke test schemat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7625"/>
          <a:ext cx="4381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s%20and%20PCBs%20in%20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amps"/>
      <sheetName val="valves"/>
      <sheetName val="Bipolars"/>
      <sheetName val="Power transformer"/>
      <sheetName val="Heatsinks &amp; Parts"/>
      <sheetName val="FETs Diodes MOV"/>
      <sheetName val="PCB list"/>
      <sheetName val="Output Transformer"/>
      <sheetName val="Chokes"/>
      <sheetName val="RLC RANGES"/>
      <sheetName val="Test gear"/>
      <sheetName val="Power supplies"/>
      <sheetName val="load resistance"/>
      <sheetName val="F240 Cal May 2009"/>
      <sheetName val="Ferrite transformers"/>
      <sheetName val="Capacitors"/>
      <sheetName val="Microphone transformer"/>
      <sheetName val="Meters"/>
      <sheetName val="Reverb tanks"/>
      <sheetName val="Flouro Ballasts"/>
      <sheetName val="Rectifier diodes"/>
      <sheetName val="POTs &amp; jacks"/>
    </sheetNames>
    <sheetDataSet>
      <sheetData sheetId="9">
        <row r="8">
          <cell r="B8">
            <v>0.47</v>
          </cell>
        </row>
        <row r="9">
          <cell r="B9">
            <v>0.035</v>
          </cell>
        </row>
        <row r="10">
          <cell r="B10">
            <v>100</v>
          </cell>
        </row>
        <row r="11">
          <cell r="B11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2" max="2" width="12.7109375" style="1" customWidth="1"/>
    <col min="3" max="3" width="12.140625" style="0" customWidth="1"/>
    <col min="4" max="4" width="9.421875" style="0" customWidth="1"/>
    <col min="5" max="5" width="10.8515625" style="0" customWidth="1"/>
    <col min="8" max="8" width="4.8515625" style="0" customWidth="1"/>
    <col min="9" max="9" width="56.8515625" style="11" customWidth="1"/>
  </cols>
  <sheetData>
    <row r="1" spans="2:9" ht="12.75">
      <c r="B1" s="23" t="s">
        <v>0</v>
      </c>
      <c r="C1" s="23" t="s">
        <v>1</v>
      </c>
      <c r="D1" s="23" t="s">
        <v>143</v>
      </c>
      <c r="E1" s="23" t="s">
        <v>2</v>
      </c>
      <c r="F1" s="11"/>
      <c r="I1" s="23" t="s">
        <v>26</v>
      </c>
    </row>
    <row r="2" spans="1:9" ht="12.75">
      <c r="A2" s="2" t="s">
        <v>3</v>
      </c>
      <c r="B2" s="3">
        <v>40.16</v>
      </c>
      <c r="D2" s="4">
        <v>8000</v>
      </c>
      <c r="E2" s="11">
        <f>$E$3*B2/$B$3</f>
        <v>3650.909090909091</v>
      </c>
      <c r="F2" s="11"/>
      <c r="I2" s="11" t="s">
        <v>31</v>
      </c>
    </row>
    <row r="3" spans="1:9" ht="12.75">
      <c r="A3" s="2" t="s">
        <v>4</v>
      </c>
      <c r="B3" s="3">
        <v>11</v>
      </c>
      <c r="C3" s="1">
        <f aca="true" t="shared" si="0" ref="C3:C9">$B$2/B3</f>
        <v>3.6509090909090904</v>
      </c>
      <c r="D3" s="5">
        <f aca="true" t="shared" si="1" ref="D3:D9">$D$2/C3^2</f>
        <v>600.1888858907004</v>
      </c>
      <c r="E3" s="25">
        <v>1000</v>
      </c>
      <c r="F3" s="11"/>
      <c r="I3" s="11" t="s">
        <v>32</v>
      </c>
    </row>
    <row r="4" spans="1:9" ht="12.75">
      <c r="A4" s="2" t="s">
        <v>5</v>
      </c>
      <c r="B4" s="3">
        <v>7.8</v>
      </c>
      <c r="C4" s="1">
        <f t="shared" si="0"/>
        <v>5.148717948717948</v>
      </c>
      <c r="D4" s="5">
        <f t="shared" si="1"/>
        <v>301.78092411231574</v>
      </c>
      <c r="E4" s="11">
        <f aca="true" t="shared" si="2" ref="E4:E9">$E$3*B4/$B$3</f>
        <v>709.0909090909091</v>
      </c>
      <c r="F4" s="11"/>
      <c r="I4" s="11" t="s">
        <v>30</v>
      </c>
    </row>
    <row r="5" spans="1:9" ht="12.75">
      <c r="A5" s="2" t="s">
        <v>6</v>
      </c>
      <c r="B5" s="3">
        <v>5.5</v>
      </c>
      <c r="C5" s="1">
        <f t="shared" si="0"/>
        <v>7.301818181818181</v>
      </c>
      <c r="D5" s="5">
        <f t="shared" si="1"/>
        <v>150.0472214726751</v>
      </c>
      <c r="E5" s="11">
        <f t="shared" si="2"/>
        <v>500</v>
      </c>
      <c r="F5" s="11"/>
      <c r="I5"/>
    </row>
    <row r="6" spans="1:9" ht="12.75">
      <c r="A6" s="2" t="s">
        <v>7</v>
      </c>
      <c r="B6" s="3">
        <v>4.5</v>
      </c>
      <c r="C6" s="1">
        <f t="shared" si="0"/>
        <v>8.924444444444443</v>
      </c>
      <c r="D6" s="5">
        <f t="shared" si="1"/>
        <v>100.44483420898084</v>
      </c>
      <c r="E6" s="11">
        <f t="shared" si="2"/>
        <v>409.09090909090907</v>
      </c>
      <c r="F6" s="11"/>
      <c r="I6" t="s">
        <v>136</v>
      </c>
    </row>
    <row r="7" spans="1:9" ht="12.75">
      <c r="A7" s="2" t="s">
        <v>8</v>
      </c>
      <c r="B7" s="3">
        <v>3.5</v>
      </c>
      <c r="C7" s="1">
        <f t="shared" si="0"/>
        <v>11.474285714285713</v>
      </c>
      <c r="D7" s="1">
        <f t="shared" si="1"/>
        <v>60.76292439802544</v>
      </c>
      <c r="E7" s="11">
        <f t="shared" si="2"/>
        <v>318.1818181818182</v>
      </c>
      <c r="F7" s="11"/>
      <c r="I7" t="s">
        <v>27</v>
      </c>
    </row>
    <row r="8" spans="1:9" ht="12.75">
      <c r="A8" s="2" t="s">
        <v>9</v>
      </c>
      <c r="B8" s="3">
        <v>2.9</v>
      </c>
      <c r="C8" s="1">
        <f>$B$2/B8</f>
        <v>13.848275862068965</v>
      </c>
      <c r="D8" s="5">
        <f>$D$2/C8^2</f>
        <v>41.715607688766845</v>
      </c>
      <c r="E8" s="11">
        <f t="shared" si="2"/>
        <v>263.6363636363636</v>
      </c>
      <c r="F8" s="11"/>
      <c r="I8" t="s">
        <v>28</v>
      </c>
    </row>
    <row r="9" spans="1:9" ht="12.75">
      <c r="A9" s="2" t="s">
        <v>10</v>
      </c>
      <c r="B9" s="3">
        <v>2</v>
      </c>
      <c r="C9" s="1">
        <f t="shared" si="0"/>
        <v>20.08</v>
      </c>
      <c r="D9" s="5">
        <f t="shared" si="1"/>
        <v>19.840954905477695</v>
      </c>
      <c r="E9" s="11">
        <f t="shared" si="2"/>
        <v>181.8181818181818</v>
      </c>
      <c r="F9" s="11"/>
      <c r="I9" t="s">
        <v>29</v>
      </c>
    </row>
    <row r="10" spans="1:6" ht="12.75">
      <c r="A10" s="2" t="s">
        <v>11</v>
      </c>
      <c r="B10" s="3">
        <v>1.6</v>
      </c>
      <c r="C10" s="1">
        <f>$B$2/B10</f>
        <v>25.099999999999998</v>
      </c>
      <c r="D10" s="5">
        <f>$D$2/C10^2</f>
        <v>12.698211139505725</v>
      </c>
      <c r="E10" s="11">
        <f>$E$3*B10/$B$3</f>
        <v>145.45454545454547</v>
      </c>
      <c r="F10" s="11"/>
    </row>
    <row r="11" spans="1:9" ht="12.75">
      <c r="A11" s="7" t="s">
        <v>12</v>
      </c>
      <c r="B11" s="3"/>
      <c r="C11" s="1"/>
      <c r="D11" s="5"/>
      <c r="E11" s="6"/>
      <c r="F11" s="11"/>
      <c r="I11" s="11" t="s">
        <v>33</v>
      </c>
    </row>
    <row r="12" spans="1:9" ht="12.75">
      <c r="A12" s="8" t="s">
        <v>13</v>
      </c>
      <c r="B12" s="4"/>
      <c r="C12" s="1"/>
      <c r="D12" s="5"/>
      <c r="E12" s="6"/>
      <c r="F12" s="11"/>
      <c r="I12" s="11" t="s">
        <v>34</v>
      </c>
    </row>
    <row r="13" spans="1:9" ht="12.75">
      <c r="A13" s="10"/>
      <c r="B13" s="24"/>
      <c r="C13" s="1"/>
      <c r="D13" s="5"/>
      <c r="E13" s="6"/>
      <c r="F13" s="11"/>
      <c r="I13" s="11" t="s">
        <v>138</v>
      </c>
    </row>
    <row r="14" spans="1:6" ht="12.75">
      <c r="A14" s="10"/>
      <c r="B14" s="24"/>
      <c r="C14" s="1"/>
      <c r="D14" s="5"/>
      <c r="E14" s="6"/>
      <c r="F14" s="11"/>
    </row>
    <row r="15" spans="1:9" ht="12.75">
      <c r="A15" s="10"/>
      <c r="B15" s="24"/>
      <c r="C15" s="1"/>
      <c r="D15" s="5"/>
      <c r="E15" s="6"/>
      <c r="F15" s="11"/>
      <c r="I15" s="11" t="s">
        <v>137</v>
      </c>
    </row>
    <row r="16" spans="1:9" ht="12.75">
      <c r="A16" s="10"/>
      <c r="B16" s="24"/>
      <c r="C16" s="1"/>
      <c r="D16" s="5"/>
      <c r="E16" s="6"/>
      <c r="F16" s="11"/>
      <c r="I16" s="11" t="s">
        <v>139</v>
      </c>
    </row>
    <row r="17" spans="1:9" ht="12.75">
      <c r="A17" s="10"/>
      <c r="B17"/>
      <c r="C17" s="1"/>
      <c r="D17" s="5"/>
      <c r="E17" s="6"/>
      <c r="F17" s="11"/>
      <c r="I17" s="26" t="s">
        <v>141</v>
      </c>
    </row>
    <row r="18" spans="1:9" ht="12.75">
      <c r="A18" s="13" t="s">
        <v>35</v>
      </c>
      <c r="B18"/>
      <c r="C18" s="1"/>
      <c r="D18" s="5"/>
      <c r="E18" s="6"/>
      <c r="F18" s="11"/>
      <c r="I18" s="11" t="s">
        <v>140</v>
      </c>
    </row>
    <row r="19" spans="1:9" ht="38.25">
      <c r="A19" t="s">
        <v>14</v>
      </c>
      <c r="B19" s="9" t="s">
        <v>15</v>
      </c>
      <c r="C19" s="9" t="s">
        <v>16</v>
      </c>
      <c r="D19" s="9" t="s">
        <v>17</v>
      </c>
      <c r="E19" s="9" t="s">
        <v>18</v>
      </c>
      <c r="F19" s="12" t="s">
        <v>19</v>
      </c>
      <c r="G19" s="9" t="s">
        <v>20</v>
      </c>
      <c r="I19" s="27" t="s">
        <v>142</v>
      </c>
    </row>
    <row r="20" spans="2:9" ht="12.75">
      <c r="B20">
        <v>0.5</v>
      </c>
      <c r="C20" s="1">
        <f>SQRT(B20*8)</f>
        <v>2</v>
      </c>
      <c r="D20" s="1">
        <f>100/C20</f>
        <v>50</v>
      </c>
      <c r="E20" s="6">
        <f>D20^2</f>
        <v>2500</v>
      </c>
      <c r="F20" s="11">
        <f>E20*8</f>
        <v>20000</v>
      </c>
      <c r="G20">
        <v>215</v>
      </c>
      <c r="I20" s="11" t="s">
        <v>144</v>
      </c>
    </row>
    <row r="21" spans="2:9" ht="12.75">
      <c r="B21">
        <v>1</v>
      </c>
      <c r="C21" s="1">
        <f>SQRT(B21*8)</f>
        <v>2.8284271247461903</v>
      </c>
      <c r="D21" s="1">
        <f>100/C21</f>
        <v>35.35533905932737</v>
      </c>
      <c r="E21" s="6">
        <f>D21^2</f>
        <v>1249.9999999999995</v>
      </c>
      <c r="F21" s="11">
        <f>E21*8</f>
        <v>9999.999999999996</v>
      </c>
      <c r="G21">
        <v>147</v>
      </c>
      <c r="I21" s="26" t="s">
        <v>146</v>
      </c>
    </row>
    <row r="22" spans="2:9" ht="12.75">
      <c r="B22">
        <v>2</v>
      </c>
      <c r="C22" s="1">
        <f>SQRT(B22*8)</f>
        <v>4</v>
      </c>
      <c r="D22" s="1">
        <f>100/C22</f>
        <v>25</v>
      </c>
      <c r="E22" s="6">
        <f>D22^2</f>
        <v>625</v>
      </c>
      <c r="F22" s="11">
        <f>E22*8</f>
        <v>5000</v>
      </c>
      <c r="G22">
        <v>102</v>
      </c>
      <c r="I22" s="28" t="s">
        <v>145</v>
      </c>
    </row>
    <row r="23" spans="2:9" ht="12.75">
      <c r="B23">
        <v>5</v>
      </c>
      <c r="C23" s="1">
        <f>SQRT(B23*8)</f>
        <v>6.324555320336759</v>
      </c>
      <c r="D23" s="1">
        <f>100/C23</f>
        <v>15.811388300841896</v>
      </c>
      <c r="E23" s="6">
        <f>D23^2</f>
        <v>250</v>
      </c>
      <c r="F23" s="11">
        <f>E23*8</f>
        <v>2000</v>
      </c>
      <c r="G23">
        <v>63</v>
      </c>
      <c r="I23"/>
    </row>
    <row r="24" spans="2:9" ht="12.75">
      <c r="B24">
        <v>0</v>
      </c>
      <c r="C24" s="1">
        <f>SQRT(B24*8)</f>
        <v>0</v>
      </c>
      <c r="D24" s="1">
        <v>0</v>
      </c>
      <c r="E24" s="6">
        <f>D24^2</f>
        <v>0</v>
      </c>
      <c r="F24" s="11">
        <f>E24*8</f>
        <v>0</v>
      </c>
      <c r="I24"/>
    </row>
    <row r="25" spans="2:9" ht="12.75">
      <c r="B25"/>
      <c r="F25" s="11"/>
      <c r="I25"/>
    </row>
    <row r="26" spans="2:9" ht="12.75">
      <c r="B26"/>
      <c r="F26" s="11"/>
      <c r="I26"/>
    </row>
    <row r="27" spans="1:9" ht="38.25">
      <c r="A27" t="s">
        <v>21</v>
      </c>
      <c r="B27" s="9" t="s">
        <v>15</v>
      </c>
      <c r="C27" s="9" t="s">
        <v>16</v>
      </c>
      <c r="D27" s="9" t="s">
        <v>17</v>
      </c>
      <c r="E27" s="9" t="s">
        <v>18</v>
      </c>
      <c r="F27" s="12" t="s">
        <v>19</v>
      </c>
      <c r="I27"/>
    </row>
    <row r="28" spans="2:9" ht="12.75">
      <c r="B28">
        <v>1.25</v>
      </c>
      <c r="C28" s="1">
        <f aca="true" t="shared" si="3" ref="C28:C33">SQRT(B28*8)</f>
        <v>3.1622776601683795</v>
      </c>
      <c r="D28" s="1">
        <f>100/C28</f>
        <v>31.622776601683793</v>
      </c>
      <c r="E28" s="6">
        <f aca="true" t="shared" si="4" ref="E28:E33">D28^2</f>
        <v>1000</v>
      </c>
      <c r="F28" s="11">
        <f aca="true" t="shared" si="5" ref="F28:F33">E28*8</f>
        <v>8000</v>
      </c>
      <c r="I28"/>
    </row>
    <row r="29" spans="2:9" ht="12.75">
      <c r="B29">
        <v>2.5</v>
      </c>
      <c r="C29" s="1">
        <f t="shared" si="3"/>
        <v>4.47213595499958</v>
      </c>
      <c r="D29" s="1">
        <f>100/C29</f>
        <v>22.360679774997894</v>
      </c>
      <c r="E29" s="6">
        <f t="shared" si="4"/>
        <v>499.9999999999999</v>
      </c>
      <c r="F29" s="11">
        <f t="shared" si="5"/>
        <v>3999.999999999999</v>
      </c>
      <c r="I29"/>
    </row>
    <row r="30" spans="2:9" ht="12.75">
      <c r="B30">
        <v>5</v>
      </c>
      <c r="C30" s="1">
        <f t="shared" si="3"/>
        <v>6.324555320336759</v>
      </c>
      <c r="D30" s="1">
        <f>100/C30</f>
        <v>15.811388300841896</v>
      </c>
      <c r="E30" s="6">
        <f t="shared" si="4"/>
        <v>250</v>
      </c>
      <c r="F30" s="11">
        <f t="shared" si="5"/>
        <v>2000</v>
      </c>
      <c r="I30"/>
    </row>
    <row r="31" spans="2:9" ht="12.75">
      <c r="B31">
        <v>7.5</v>
      </c>
      <c r="C31" s="1">
        <f t="shared" si="3"/>
        <v>7.745966692414834</v>
      </c>
      <c r="D31" s="1">
        <f>100/C31</f>
        <v>12.909944487358056</v>
      </c>
      <c r="E31" s="6">
        <f t="shared" si="4"/>
        <v>166.66666666666666</v>
      </c>
      <c r="F31" s="11">
        <f t="shared" si="5"/>
        <v>1333.3333333333333</v>
      </c>
      <c r="I31"/>
    </row>
    <row r="32" spans="2:9" ht="12.75">
      <c r="B32">
        <v>10</v>
      </c>
      <c r="C32" s="1">
        <f t="shared" si="3"/>
        <v>8.94427190999916</v>
      </c>
      <c r="D32" s="1">
        <f>100/C32</f>
        <v>11.180339887498947</v>
      </c>
      <c r="E32" s="6">
        <f t="shared" si="4"/>
        <v>124.99999999999997</v>
      </c>
      <c r="F32" s="11">
        <f t="shared" si="5"/>
        <v>999.9999999999998</v>
      </c>
      <c r="I32"/>
    </row>
    <row r="33" spans="2:9" ht="12.75">
      <c r="B33">
        <v>0</v>
      </c>
      <c r="C33" s="1">
        <f t="shared" si="3"/>
        <v>0</v>
      </c>
      <c r="D33" s="1">
        <v>0</v>
      </c>
      <c r="E33" s="6">
        <f t="shared" si="4"/>
        <v>0</v>
      </c>
      <c r="F33" s="11">
        <f t="shared" si="5"/>
        <v>0</v>
      </c>
      <c r="I33"/>
    </row>
    <row r="34" spans="2:9" ht="12.75">
      <c r="B34"/>
      <c r="F34" s="11"/>
      <c r="I34"/>
    </row>
    <row r="35" spans="1:9" ht="38.25">
      <c r="A35" t="s">
        <v>22</v>
      </c>
      <c r="B35" s="9" t="s">
        <v>15</v>
      </c>
      <c r="C35" s="9" t="s">
        <v>16</v>
      </c>
      <c r="D35" s="9" t="s">
        <v>17</v>
      </c>
      <c r="E35" s="9" t="s">
        <v>18</v>
      </c>
      <c r="F35" s="12" t="s">
        <v>19</v>
      </c>
      <c r="I35"/>
    </row>
    <row r="36" spans="2:9" ht="12.75">
      <c r="B36">
        <v>1.25</v>
      </c>
      <c r="C36" s="1">
        <f aca="true" t="shared" si="6" ref="C36:C41">SQRT(B36*8)</f>
        <v>3.1622776601683795</v>
      </c>
      <c r="D36" s="1">
        <f>100/C36</f>
        <v>31.622776601683793</v>
      </c>
      <c r="E36" s="6">
        <f aca="true" t="shared" si="7" ref="E36:E41">D36^2</f>
        <v>1000</v>
      </c>
      <c r="F36" s="11">
        <f aca="true" t="shared" si="8" ref="F36:F41">E36*8</f>
        <v>8000</v>
      </c>
      <c r="I36"/>
    </row>
    <row r="37" spans="2:9" ht="12.75">
      <c r="B37">
        <v>2.5</v>
      </c>
      <c r="C37" s="1">
        <f t="shared" si="6"/>
        <v>4.47213595499958</v>
      </c>
      <c r="D37" s="1">
        <f>100/C37</f>
        <v>22.360679774997894</v>
      </c>
      <c r="E37" s="6">
        <f t="shared" si="7"/>
        <v>499.9999999999999</v>
      </c>
      <c r="F37" s="11">
        <f t="shared" si="8"/>
        <v>3999.999999999999</v>
      </c>
      <c r="I37"/>
    </row>
    <row r="38" spans="2:9" ht="12.75">
      <c r="B38">
        <v>5</v>
      </c>
      <c r="C38" s="1">
        <f t="shared" si="6"/>
        <v>6.324555320336759</v>
      </c>
      <c r="D38" s="1">
        <f>100/C38</f>
        <v>15.811388300841896</v>
      </c>
      <c r="E38" s="6">
        <f t="shared" si="7"/>
        <v>250</v>
      </c>
      <c r="F38" s="11">
        <f t="shared" si="8"/>
        <v>2000</v>
      </c>
      <c r="I38"/>
    </row>
    <row r="39" spans="2:9" ht="12.75">
      <c r="B39">
        <v>10</v>
      </c>
      <c r="C39" s="1">
        <f t="shared" si="6"/>
        <v>8.94427190999916</v>
      </c>
      <c r="D39" s="1">
        <f>100/C39</f>
        <v>11.180339887498947</v>
      </c>
      <c r="E39" s="6">
        <f t="shared" si="7"/>
        <v>124.99999999999997</v>
      </c>
      <c r="F39" s="11">
        <f t="shared" si="8"/>
        <v>999.9999999999998</v>
      </c>
      <c r="I39"/>
    </row>
    <row r="40" spans="2:9" ht="12.75">
      <c r="B40">
        <v>15</v>
      </c>
      <c r="C40" s="1">
        <f t="shared" si="6"/>
        <v>10.954451150103322</v>
      </c>
      <c r="D40" s="1">
        <f>100/C40</f>
        <v>9.128709291752768</v>
      </c>
      <c r="E40" s="6">
        <f t="shared" si="7"/>
        <v>83.33333333333333</v>
      </c>
      <c r="F40" s="11">
        <f t="shared" si="8"/>
        <v>666.6666666666666</v>
      </c>
      <c r="I40"/>
    </row>
    <row r="41" spans="2:9" ht="12.75">
      <c r="B41">
        <v>0</v>
      </c>
      <c r="C41" s="1">
        <f t="shared" si="6"/>
        <v>0</v>
      </c>
      <c r="D41" s="1">
        <v>0</v>
      </c>
      <c r="E41" s="6">
        <f t="shared" si="7"/>
        <v>0</v>
      </c>
      <c r="F41" s="11">
        <f t="shared" si="8"/>
        <v>0</v>
      </c>
      <c r="I41"/>
    </row>
    <row r="42" spans="2:9" ht="12.75">
      <c r="B42"/>
      <c r="F42" s="11"/>
      <c r="I42"/>
    </row>
    <row r="43" spans="1:9" ht="38.25">
      <c r="A43" s="2" t="s">
        <v>23</v>
      </c>
      <c r="B43" s="9" t="s">
        <v>15</v>
      </c>
      <c r="C43" s="9" t="s">
        <v>16</v>
      </c>
      <c r="D43" s="9" t="s">
        <v>17</v>
      </c>
      <c r="E43" s="9" t="s">
        <v>18</v>
      </c>
      <c r="F43" s="12" t="s">
        <v>24</v>
      </c>
      <c r="I43"/>
    </row>
    <row r="44" spans="2:9" ht="12.75">
      <c r="B44">
        <v>1.25</v>
      </c>
      <c r="C44" s="1">
        <f aca="true" t="shared" si="9" ref="C44:C49">SQRT(B44*8)</f>
        <v>3.1622776601683795</v>
      </c>
      <c r="D44" s="1">
        <f aca="true" t="shared" si="10" ref="D44:D49">100/C44</f>
        <v>31.622776601683793</v>
      </c>
      <c r="E44" s="6">
        <f aca="true" t="shared" si="11" ref="E44:E49">D44^2</f>
        <v>1000</v>
      </c>
      <c r="F44" s="11">
        <f aca="true" t="shared" si="12" ref="F44:F49">E44*8</f>
        <v>8000</v>
      </c>
      <c r="I44"/>
    </row>
    <row r="45" spans="2:9" ht="12.75">
      <c r="B45">
        <v>2.5</v>
      </c>
      <c r="C45" s="1">
        <f t="shared" si="9"/>
        <v>4.47213595499958</v>
      </c>
      <c r="D45" s="1">
        <f t="shared" si="10"/>
        <v>22.360679774997894</v>
      </c>
      <c r="E45" s="6">
        <f t="shared" si="11"/>
        <v>499.9999999999999</v>
      </c>
      <c r="F45" s="11">
        <f t="shared" si="12"/>
        <v>3999.999999999999</v>
      </c>
      <c r="I45"/>
    </row>
    <row r="46" spans="2:9" ht="12.75">
      <c r="B46">
        <v>5</v>
      </c>
      <c r="C46" s="1">
        <f t="shared" si="9"/>
        <v>6.324555320336759</v>
      </c>
      <c r="D46" s="1">
        <f t="shared" si="10"/>
        <v>15.811388300841896</v>
      </c>
      <c r="E46" s="6">
        <f t="shared" si="11"/>
        <v>250</v>
      </c>
      <c r="F46" s="11">
        <f t="shared" si="12"/>
        <v>2000</v>
      </c>
      <c r="I46"/>
    </row>
    <row r="47" spans="2:9" ht="12.75">
      <c r="B47">
        <v>10</v>
      </c>
      <c r="C47" s="1">
        <f t="shared" si="9"/>
        <v>8.94427190999916</v>
      </c>
      <c r="D47" s="1">
        <f t="shared" si="10"/>
        <v>11.180339887498947</v>
      </c>
      <c r="E47" s="6">
        <f t="shared" si="11"/>
        <v>124.99999999999997</v>
      </c>
      <c r="F47" s="11">
        <f t="shared" si="12"/>
        <v>999.9999999999998</v>
      </c>
      <c r="I47"/>
    </row>
    <row r="48" spans="2:9" ht="12.75">
      <c r="B48">
        <v>15</v>
      </c>
      <c r="C48" s="1">
        <f t="shared" si="9"/>
        <v>10.954451150103322</v>
      </c>
      <c r="D48" s="1">
        <f t="shared" si="10"/>
        <v>9.128709291752768</v>
      </c>
      <c r="E48" s="6">
        <f t="shared" si="11"/>
        <v>83.33333333333333</v>
      </c>
      <c r="F48" s="11">
        <f t="shared" si="12"/>
        <v>666.6666666666666</v>
      </c>
      <c r="I48"/>
    </row>
    <row r="49" spans="2:9" ht="12.75">
      <c r="B49">
        <v>20</v>
      </c>
      <c r="C49" s="1">
        <f t="shared" si="9"/>
        <v>12.649110640673518</v>
      </c>
      <c r="D49" s="1">
        <f t="shared" si="10"/>
        <v>7.905694150420948</v>
      </c>
      <c r="E49" s="6">
        <f t="shared" si="11"/>
        <v>62.5</v>
      </c>
      <c r="F49" s="11">
        <f t="shared" si="12"/>
        <v>500</v>
      </c>
      <c r="I49"/>
    </row>
    <row r="50" spans="2:9" ht="12.75">
      <c r="B50"/>
      <c r="F50" s="11"/>
      <c r="I50"/>
    </row>
    <row r="51" spans="1:9" ht="38.25">
      <c r="A51" s="2" t="s">
        <v>23</v>
      </c>
      <c r="B51" s="9" t="s">
        <v>15</v>
      </c>
      <c r="C51" s="9" t="s">
        <v>25</v>
      </c>
      <c r="D51" s="9" t="s">
        <v>17</v>
      </c>
      <c r="E51" s="9" t="s">
        <v>18</v>
      </c>
      <c r="F51" s="12" t="s">
        <v>24</v>
      </c>
      <c r="I51"/>
    </row>
    <row r="52" spans="2:9" ht="12.75">
      <c r="B52">
        <v>1.25</v>
      </c>
      <c r="C52" s="1">
        <f aca="true" t="shared" si="13" ref="C52:C57">SQRT(B52*16)</f>
        <v>4.47213595499958</v>
      </c>
      <c r="D52" s="1">
        <f aca="true" t="shared" si="14" ref="D52:D57">100/C52</f>
        <v>22.360679774997894</v>
      </c>
      <c r="E52" s="6">
        <f aca="true" t="shared" si="15" ref="E52:E57">D52^2</f>
        <v>499.9999999999999</v>
      </c>
      <c r="F52" s="11">
        <f aca="true" t="shared" si="16" ref="F52:F57">E52*8</f>
        <v>3999.999999999999</v>
      </c>
      <c r="I52"/>
    </row>
    <row r="53" spans="2:9" ht="12.75">
      <c r="B53">
        <v>2.5</v>
      </c>
      <c r="C53" s="1">
        <f t="shared" si="13"/>
        <v>6.324555320336759</v>
      </c>
      <c r="D53" s="1">
        <f t="shared" si="14"/>
        <v>15.811388300841896</v>
      </c>
      <c r="E53" s="6">
        <f t="shared" si="15"/>
        <v>250</v>
      </c>
      <c r="F53" s="11">
        <f t="shared" si="16"/>
        <v>2000</v>
      </c>
      <c r="I53"/>
    </row>
    <row r="54" spans="2:9" ht="12.75">
      <c r="B54">
        <v>5</v>
      </c>
      <c r="C54" s="1">
        <f t="shared" si="13"/>
        <v>8.94427190999916</v>
      </c>
      <c r="D54" s="1">
        <f t="shared" si="14"/>
        <v>11.180339887498947</v>
      </c>
      <c r="E54" s="6">
        <f t="shared" si="15"/>
        <v>124.99999999999997</v>
      </c>
      <c r="F54" s="11">
        <f t="shared" si="16"/>
        <v>999.9999999999998</v>
      </c>
      <c r="I54"/>
    </row>
    <row r="55" spans="2:9" ht="12.75">
      <c r="B55">
        <v>10</v>
      </c>
      <c r="C55" s="1">
        <f t="shared" si="13"/>
        <v>12.649110640673518</v>
      </c>
      <c r="D55" s="1">
        <f t="shared" si="14"/>
        <v>7.905694150420948</v>
      </c>
      <c r="E55" s="6">
        <f t="shared" si="15"/>
        <v>62.5</v>
      </c>
      <c r="F55" s="11">
        <f t="shared" si="16"/>
        <v>500</v>
      </c>
      <c r="I55"/>
    </row>
    <row r="56" spans="2:9" ht="12.75">
      <c r="B56">
        <v>15</v>
      </c>
      <c r="C56" s="1">
        <f t="shared" si="13"/>
        <v>15.491933384829668</v>
      </c>
      <c r="D56" s="1">
        <f t="shared" si="14"/>
        <v>6.454972243679028</v>
      </c>
      <c r="E56" s="6">
        <f t="shared" si="15"/>
        <v>41.666666666666664</v>
      </c>
      <c r="F56" s="11">
        <f t="shared" si="16"/>
        <v>333.3333333333333</v>
      </c>
      <c r="I56"/>
    </row>
    <row r="57" spans="2:9" ht="12.75">
      <c r="B57">
        <v>20</v>
      </c>
      <c r="C57" s="1">
        <f t="shared" si="13"/>
        <v>17.88854381999832</v>
      </c>
      <c r="D57" s="1">
        <f t="shared" si="14"/>
        <v>5.590169943749474</v>
      </c>
      <c r="E57" s="6">
        <f t="shared" si="15"/>
        <v>31.249999999999993</v>
      </c>
      <c r="F57" s="11">
        <f t="shared" si="16"/>
        <v>249.99999999999994</v>
      </c>
      <c r="I57"/>
    </row>
  </sheetData>
  <sheetProtection/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9.28125" style="0" customWidth="1"/>
    <col min="2" max="2" width="30.00390625" style="0" customWidth="1"/>
    <col min="3" max="3" width="8.140625" style="0" customWidth="1"/>
    <col min="4" max="4" width="34.28125" style="0" customWidth="1"/>
    <col min="5" max="5" width="65.7109375" style="0" customWidth="1"/>
  </cols>
  <sheetData>
    <row r="1" ht="12.75">
      <c r="A1" s="23" t="s">
        <v>131</v>
      </c>
    </row>
    <row r="2" ht="12.75">
      <c r="A2" t="s">
        <v>122</v>
      </c>
    </row>
    <row r="4" spans="2:4" ht="12.75">
      <c r="B4" t="s">
        <v>123</v>
      </c>
      <c r="C4" s="16">
        <v>50</v>
      </c>
      <c r="D4" t="s">
        <v>124</v>
      </c>
    </row>
    <row r="5" spans="2:4" ht="12.75">
      <c r="B5" s="21" t="s">
        <v>118</v>
      </c>
      <c r="C5" s="16">
        <v>10</v>
      </c>
      <c r="D5" s="2" t="s">
        <v>110</v>
      </c>
    </row>
    <row r="6" spans="2:4" ht="12.75">
      <c r="B6" s="21" t="s">
        <v>132</v>
      </c>
      <c r="C6" s="5">
        <f>C8*C8/C5</f>
        <v>3.8688399999999996</v>
      </c>
      <c r="D6" t="s">
        <v>112</v>
      </c>
    </row>
    <row r="7" spans="2:6" ht="12.75">
      <c r="B7" s="21" t="s">
        <v>117</v>
      </c>
      <c r="C7" s="16">
        <v>54</v>
      </c>
      <c r="D7" t="s">
        <v>110</v>
      </c>
      <c r="F7" s="2"/>
    </row>
    <row r="8" spans="2:4" ht="12.75">
      <c r="B8" s="21" t="s">
        <v>119</v>
      </c>
      <c r="C8" s="16">
        <v>6.22</v>
      </c>
      <c r="D8" s="2" t="s">
        <v>111</v>
      </c>
    </row>
    <row r="9" spans="2:4" ht="12.75">
      <c r="B9" s="21" t="s">
        <v>121</v>
      </c>
      <c r="C9" s="16">
        <v>23.8</v>
      </c>
      <c r="D9" t="s">
        <v>113</v>
      </c>
    </row>
    <row r="10" spans="2:4" ht="12.75">
      <c r="B10" s="21" t="s">
        <v>120</v>
      </c>
      <c r="C10" s="17">
        <v>0.553</v>
      </c>
      <c r="D10" s="2" t="s">
        <v>113</v>
      </c>
    </row>
    <row r="11" spans="2:4" ht="12.75">
      <c r="B11" s="21" t="s">
        <v>134</v>
      </c>
      <c r="C11" s="5">
        <f>1000*C10/C5</f>
        <v>55.3</v>
      </c>
      <c r="D11" t="s">
        <v>115</v>
      </c>
    </row>
    <row r="12" spans="2:5" ht="12.75">
      <c r="B12" s="21" t="s">
        <v>128</v>
      </c>
      <c r="C12" s="6">
        <f>1000*C9/C11</f>
        <v>430.3797468354431</v>
      </c>
      <c r="D12" s="22" t="s">
        <v>127</v>
      </c>
      <c r="E12" s="2" t="s">
        <v>116</v>
      </c>
    </row>
    <row r="13" spans="2:4" ht="12.75">
      <c r="B13" s="21" t="s">
        <v>129</v>
      </c>
      <c r="C13" s="6">
        <f>SQRT(C12^2-C7^2)</f>
        <v>426.9786019066296</v>
      </c>
      <c r="D13" s="22" t="s">
        <v>127</v>
      </c>
    </row>
    <row r="14" spans="2:4" ht="12.75">
      <c r="B14" t="s">
        <v>130</v>
      </c>
      <c r="C14" s="18">
        <f>C13/(2*PI()*2*C4)</f>
        <v>0.6795575508790667</v>
      </c>
      <c r="D14" s="2" t="s">
        <v>114</v>
      </c>
    </row>
    <row r="15" spans="2:4" ht="12.75">
      <c r="B15" t="s">
        <v>135</v>
      </c>
      <c r="C15" s="19">
        <f>1000*C8/C5</f>
        <v>622</v>
      </c>
      <c r="D15" t="s">
        <v>126</v>
      </c>
    </row>
    <row r="16" spans="2:4" ht="12.75">
      <c r="B16" t="s">
        <v>125</v>
      </c>
      <c r="C16" s="20">
        <f>C7*C15*C15/1000000</f>
        <v>20.891736</v>
      </c>
      <c r="D16" t="s">
        <v>112</v>
      </c>
    </row>
    <row r="19" spans="1:17" ht="12.75">
      <c r="A19" s="23" t="s">
        <v>133</v>
      </c>
      <c r="B19" s="23" t="s">
        <v>41</v>
      </c>
      <c r="C19" s="23" t="s">
        <v>42</v>
      </c>
      <c r="D19" s="23" t="s">
        <v>43</v>
      </c>
      <c r="E19" s="23" t="s">
        <v>36</v>
      </c>
      <c r="G19" s="2" t="s">
        <v>37</v>
      </c>
      <c r="H19" s="1">
        <f>2*SQRT(2)/PI()</f>
        <v>0.9003163161571062</v>
      </c>
      <c r="J19" s="2" t="s">
        <v>38</v>
      </c>
      <c r="K19" s="5">
        <f>20*2*SQRT(2)/PI()</f>
        <v>18.006326323142122</v>
      </c>
      <c r="M19" s="2" t="s">
        <v>39</v>
      </c>
      <c r="N19" s="5">
        <f>32*2*SQRT(2)/PI()</f>
        <v>28.810122117027397</v>
      </c>
      <c r="P19" s="2" t="s">
        <v>40</v>
      </c>
      <c r="Q19" s="5">
        <f>52*2*SQRT(2)/PI()</f>
        <v>46.81644844016952</v>
      </c>
    </row>
    <row r="20" spans="7:18" ht="12.75">
      <c r="G20" s="2" t="s">
        <v>44</v>
      </c>
      <c r="H20" s="2" t="s">
        <v>45</v>
      </c>
      <c r="I20" s="2" t="s">
        <v>46</v>
      </c>
      <c r="J20" s="2" t="s">
        <v>44</v>
      </c>
      <c r="K20" s="2" t="s">
        <v>45</v>
      </c>
      <c r="L20" s="2" t="s">
        <v>46</v>
      </c>
      <c r="M20" s="2" t="s">
        <v>44</v>
      </c>
      <c r="N20" s="2" t="s">
        <v>45</v>
      </c>
      <c r="O20" s="2" t="s">
        <v>46</v>
      </c>
      <c r="P20" s="2" t="s">
        <v>44</v>
      </c>
      <c r="Q20" s="2" t="s">
        <v>45</v>
      </c>
      <c r="R20" s="2" t="s">
        <v>46</v>
      </c>
    </row>
    <row r="21" spans="2:6" ht="12.75">
      <c r="B21" t="s">
        <v>47</v>
      </c>
      <c r="C21">
        <v>109</v>
      </c>
      <c r="D21" t="s">
        <v>48</v>
      </c>
      <c r="E21" s="2" t="s">
        <v>49</v>
      </c>
      <c r="F21" s="2"/>
    </row>
    <row r="22" spans="2:5" ht="12.75">
      <c r="B22" t="s">
        <v>50</v>
      </c>
      <c r="C22">
        <v>366</v>
      </c>
      <c r="D22" t="s">
        <v>51</v>
      </c>
      <c r="E22" s="2" t="s">
        <v>52</v>
      </c>
    </row>
    <row r="23" spans="2:5" ht="12.75">
      <c r="B23" t="s">
        <v>53</v>
      </c>
      <c r="C23">
        <v>358</v>
      </c>
      <c r="D23" t="s">
        <v>54</v>
      </c>
      <c r="E23" s="2" t="s">
        <v>55</v>
      </c>
    </row>
    <row r="24" spans="2:5" ht="12.75">
      <c r="B24" t="s">
        <v>56</v>
      </c>
      <c r="C24">
        <v>195</v>
      </c>
      <c r="D24" t="s">
        <v>57</v>
      </c>
      <c r="E24" s="2" t="s">
        <v>58</v>
      </c>
    </row>
    <row r="25" spans="3:5" ht="12.75">
      <c r="C25">
        <v>30</v>
      </c>
      <c r="D25" t="s">
        <v>59</v>
      </c>
      <c r="E25" t="s">
        <v>60</v>
      </c>
    </row>
    <row r="26" spans="3:16" ht="12.75">
      <c r="C26">
        <v>27</v>
      </c>
      <c r="D26" s="2" t="s">
        <v>61</v>
      </c>
      <c r="E26" s="2" t="s">
        <v>62</v>
      </c>
      <c r="F26" s="2"/>
      <c r="G26">
        <f>H19/545</f>
        <v>0.0016519565434075342</v>
      </c>
      <c r="H26">
        <f>12000/(1500*14)</f>
        <v>0.5714285714285714</v>
      </c>
      <c r="J26">
        <f>K19/545</f>
        <v>0.03303913086815068</v>
      </c>
      <c r="M26">
        <f>N19/545</f>
        <v>0.052862609389041096</v>
      </c>
      <c r="P26">
        <f>Q19/535</f>
        <v>0.08750738026199911</v>
      </c>
    </row>
    <row r="27" spans="3:18" ht="12.75">
      <c r="C27">
        <v>535</v>
      </c>
      <c r="D27" s="2" t="s">
        <v>63</v>
      </c>
      <c r="E27" s="2"/>
      <c r="F27" s="2"/>
      <c r="G27">
        <v>17</v>
      </c>
      <c r="H27">
        <v>0.6</v>
      </c>
      <c r="I27">
        <v>15.5</v>
      </c>
      <c r="J27">
        <v>30</v>
      </c>
      <c r="K27">
        <v>0.9</v>
      </c>
      <c r="L27">
        <v>16.2</v>
      </c>
      <c r="M27">
        <v>50</v>
      </c>
      <c r="N27">
        <v>1.4</v>
      </c>
      <c r="O27">
        <v>16.1</v>
      </c>
      <c r="P27">
        <v>82</v>
      </c>
      <c r="Q27">
        <v>2.7</v>
      </c>
      <c r="R27">
        <v>13.6</v>
      </c>
    </row>
    <row r="28" spans="1:5" ht="12.75">
      <c r="A28" s="2"/>
      <c r="B28" s="2" t="s">
        <v>64</v>
      </c>
      <c r="C28">
        <v>4</v>
      </c>
      <c r="D28" s="2" t="s">
        <v>65</v>
      </c>
      <c r="E28" s="2" t="s">
        <v>66</v>
      </c>
    </row>
    <row r="29" spans="1:5" ht="12.75">
      <c r="A29" s="2"/>
      <c r="B29" s="2" t="s">
        <v>67</v>
      </c>
      <c r="C29">
        <v>40</v>
      </c>
      <c r="D29" s="2" t="s">
        <v>68</v>
      </c>
      <c r="E29" s="2" t="s">
        <v>69</v>
      </c>
    </row>
    <row r="30" spans="3:18" ht="12.75">
      <c r="C30">
        <v>54</v>
      </c>
      <c r="D30" s="2" t="s">
        <v>70</v>
      </c>
      <c r="E30" s="2" t="s">
        <v>71</v>
      </c>
      <c r="G30">
        <v>140</v>
      </c>
      <c r="H30">
        <v>5.6</v>
      </c>
      <c r="I30">
        <v>1.51</v>
      </c>
      <c r="J30">
        <v>245</v>
      </c>
      <c r="K30">
        <v>9.7</v>
      </c>
      <c r="L30">
        <v>1.47</v>
      </c>
      <c r="M30">
        <v>397</v>
      </c>
      <c r="N30">
        <v>17.7</v>
      </c>
      <c r="O30">
        <v>1.3</v>
      </c>
      <c r="P30">
        <v>622</v>
      </c>
      <c r="Q30">
        <v>55</v>
      </c>
      <c r="R30">
        <v>0.68</v>
      </c>
    </row>
    <row r="31" spans="3:5" ht="12.75">
      <c r="C31">
        <v>47</v>
      </c>
      <c r="D31" s="2" t="s">
        <v>72</v>
      </c>
      <c r="E31" s="2" t="s">
        <v>73</v>
      </c>
    </row>
    <row r="32" spans="3:5" ht="12.75">
      <c r="C32">
        <v>47</v>
      </c>
      <c r="D32" s="2" t="s">
        <v>74</v>
      </c>
      <c r="E32" s="2" t="s">
        <v>75</v>
      </c>
    </row>
    <row r="33" spans="3:5" ht="12.75">
      <c r="C33">
        <v>21</v>
      </c>
      <c r="D33" s="2" t="s">
        <v>76</v>
      </c>
      <c r="E33" s="2" t="s">
        <v>77</v>
      </c>
    </row>
    <row r="34" spans="2:5" ht="12.75">
      <c r="B34" s="2" t="s">
        <v>78</v>
      </c>
      <c r="C34">
        <v>13</v>
      </c>
      <c r="D34" s="2"/>
      <c r="E34" s="2" t="s">
        <v>79</v>
      </c>
    </row>
    <row r="35" spans="2:5" ht="12.75">
      <c r="B35" s="2" t="s">
        <v>80</v>
      </c>
      <c r="C35">
        <v>121</v>
      </c>
      <c r="D35" s="2" t="s">
        <v>81</v>
      </c>
      <c r="E35" s="2" t="s">
        <v>82</v>
      </c>
    </row>
    <row r="36" spans="2:5" ht="12.75">
      <c r="B36" s="2" t="s">
        <v>83</v>
      </c>
      <c r="C36">
        <v>169</v>
      </c>
      <c r="D36" s="2" t="s">
        <v>84</v>
      </c>
      <c r="E36" s="2" t="s">
        <v>85</v>
      </c>
    </row>
    <row r="37" spans="1:6" ht="12.75">
      <c r="A37" s="2"/>
      <c r="B37" s="2" t="s">
        <v>86</v>
      </c>
      <c r="C37">
        <v>266</v>
      </c>
      <c r="D37" s="14" t="s">
        <v>87</v>
      </c>
      <c r="E37" s="2" t="s">
        <v>88</v>
      </c>
      <c r="F37" s="2"/>
    </row>
    <row r="38" spans="1:6" ht="12.75">
      <c r="A38" s="2"/>
      <c r="B38" s="2" t="s">
        <v>89</v>
      </c>
      <c r="C38">
        <v>370</v>
      </c>
      <c r="D38" s="14" t="s">
        <v>90</v>
      </c>
      <c r="E38" s="2" t="s">
        <v>91</v>
      </c>
      <c r="F38" s="2"/>
    </row>
    <row r="39" spans="1:6" ht="12.75">
      <c r="A39" s="2"/>
      <c r="B39" s="2"/>
      <c r="C39">
        <v>450</v>
      </c>
      <c r="D39" s="14" t="s">
        <v>92</v>
      </c>
      <c r="E39" s="2" t="s">
        <v>93</v>
      </c>
      <c r="F39" s="2"/>
    </row>
    <row r="40" spans="1:6" ht="12.75">
      <c r="A40" s="2"/>
      <c r="B40" s="2"/>
      <c r="C40">
        <v>466</v>
      </c>
      <c r="D40" s="14" t="s">
        <v>94</v>
      </c>
      <c r="E40" s="2"/>
      <c r="F40" s="2"/>
    </row>
    <row r="41" spans="1:6" ht="12.75">
      <c r="A41" s="2"/>
      <c r="B41" s="2"/>
      <c r="C41">
        <v>940</v>
      </c>
      <c r="D41" s="14" t="s">
        <v>95</v>
      </c>
      <c r="E41" s="2"/>
      <c r="F41" s="2"/>
    </row>
    <row r="42" spans="1:6" ht="12.75">
      <c r="A42" s="2"/>
      <c r="B42" s="2"/>
      <c r="C42">
        <v>227</v>
      </c>
      <c r="D42" s="14" t="s">
        <v>96</v>
      </c>
      <c r="E42" s="2"/>
      <c r="F42" s="2"/>
    </row>
    <row r="43" spans="1:6" ht="12.75">
      <c r="A43" s="2"/>
      <c r="B43" s="2"/>
      <c r="C43">
        <v>227</v>
      </c>
      <c r="D43" s="14" t="s">
        <v>97</v>
      </c>
      <c r="E43" s="2"/>
      <c r="F43" s="2"/>
    </row>
    <row r="44" spans="1:6" ht="12.75">
      <c r="A44" s="2"/>
      <c r="B44" s="2"/>
      <c r="C44">
        <v>320</v>
      </c>
      <c r="D44" s="14" t="s">
        <v>87</v>
      </c>
      <c r="E44" s="2"/>
      <c r="F44" s="2"/>
    </row>
    <row r="45" spans="1:6" ht="12.75">
      <c r="A45" s="2"/>
      <c r="B45" s="2"/>
      <c r="C45" s="2" t="s">
        <v>98</v>
      </c>
      <c r="D45" s="14" t="s">
        <v>99</v>
      </c>
      <c r="E45" s="2" t="s">
        <v>100</v>
      </c>
      <c r="F45" s="2"/>
    </row>
    <row r="46" spans="1:6" ht="12.75">
      <c r="A46" s="2"/>
      <c r="B46" s="2"/>
      <c r="C46">
        <v>427</v>
      </c>
      <c r="D46" s="14" t="s">
        <v>101</v>
      </c>
      <c r="E46" s="2" t="s">
        <v>102</v>
      </c>
      <c r="F46" s="2"/>
    </row>
    <row r="47" spans="1:6" ht="12.75">
      <c r="A47" s="2"/>
      <c r="B47" s="2"/>
      <c r="C47">
        <v>516</v>
      </c>
      <c r="D47" s="14" t="s">
        <v>103</v>
      </c>
      <c r="E47" s="2"/>
      <c r="F47" s="2"/>
    </row>
    <row r="48" spans="1:6" ht="12.75">
      <c r="A48" s="2"/>
      <c r="B48" s="2"/>
      <c r="C48">
        <v>537</v>
      </c>
      <c r="D48" s="14" t="s">
        <v>104</v>
      </c>
      <c r="E48" s="2"/>
      <c r="F48" s="2"/>
    </row>
    <row r="49" spans="1:6" ht="12.75">
      <c r="A49" s="2"/>
      <c r="B49" s="2"/>
      <c r="C49">
        <v>1016</v>
      </c>
      <c r="D49" s="14" t="s">
        <v>105</v>
      </c>
      <c r="E49" s="2"/>
      <c r="F49" s="2"/>
    </row>
    <row r="50" spans="2:6" ht="12.75">
      <c r="B50" s="2" t="s">
        <v>106</v>
      </c>
      <c r="C50">
        <v>570</v>
      </c>
      <c r="D50" s="15" t="s">
        <v>107</v>
      </c>
      <c r="E50" s="2" t="s">
        <v>108</v>
      </c>
      <c r="F50" s="2"/>
    </row>
    <row r="51" spans="2:6" ht="12.75">
      <c r="B51" s="2" t="s">
        <v>109</v>
      </c>
      <c r="C51">
        <v>500</v>
      </c>
      <c r="D51" s="15"/>
      <c r="E51" s="2"/>
      <c r="F51" s="2"/>
    </row>
    <row r="52" spans="7:18" ht="12.75">
      <c r="G52">
        <v>19</v>
      </c>
      <c r="H52">
        <v>0.3</v>
      </c>
      <c r="I52">
        <v>26.5</v>
      </c>
      <c r="J52">
        <v>33</v>
      </c>
      <c r="K52">
        <v>0.6</v>
      </c>
      <c r="L52">
        <v>23.7</v>
      </c>
      <c r="M52">
        <v>54</v>
      </c>
      <c r="N52">
        <v>1.2</v>
      </c>
      <c r="O52">
        <v>19.6</v>
      </c>
      <c r="P52">
        <v>87</v>
      </c>
      <c r="Q52">
        <v>2.9</v>
      </c>
      <c r="R52">
        <v>12.6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2013-05-13T09:47:57Z</dcterms:created>
  <dcterms:modified xsi:type="dcterms:W3CDTF">2014-12-06T04:30:20Z</dcterms:modified>
  <cp:category/>
  <cp:version/>
  <cp:contentType/>
  <cp:contentStatus/>
</cp:coreProperties>
</file>